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02f3eaebbf54da/Kritisch denken/"/>
    </mc:Choice>
  </mc:AlternateContent>
  <xr:revisionPtr revIDLastSave="24" documentId="13_ncr:1_{1D3F2FC9-A115-43D8-AC05-15EC4F415152}" xr6:coauthVersionLast="47" xr6:coauthVersionMax="47" xr10:uidLastSave="{6FD5E36F-46A3-4134-B56A-6F7C65035848}"/>
  <bookViews>
    <workbookView xWindow="-108" yWindow="-108" windowWidth="23256" windowHeight="12576" activeTab="2" xr2:uid="{099797CE-2A6E-404B-9FFF-053EAA60281F}"/>
  </bookViews>
  <sheets>
    <sheet name="Blad1" sheetId="1" r:id="rId1"/>
    <sheet name="Omzetting kCal-Joule" sheetId="2" r:id="rId2"/>
    <sheet name="StochElektroly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L24" i="3"/>
  <c r="L26" i="3" s="1"/>
  <c r="J18" i="3"/>
  <c r="J13" i="3"/>
  <c r="J5" i="3"/>
  <c r="J7" i="3" s="1"/>
  <c r="J11" i="3" s="1"/>
  <c r="D9" i="3"/>
  <c r="D5" i="3"/>
  <c r="L15" i="2"/>
  <c r="F23" i="2"/>
  <c r="F25" i="2" s="1"/>
  <c r="F22" i="2"/>
  <c r="H17" i="2"/>
  <c r="G3" i="2"/>
  <c r="G6" i="2" s="1"/>
  <c r="D6" i="2"/>
  <c r="E6" i="2"/>
  <c r="D8" i="2"/>
  <c r="F6" i="1"/>
  <c r="E10" i="1"/>
  <c r="E11" i="1" s="1"/>
  <c r="F3" i="1"/>
  <c r="H3" i="1" s="1"/>
  <c r="D11" i="3" l="1"/>
  <c r="D14" i="3" s="1"/>
  <c r="D16" i="3" s="1"/>
  <c r="D18" i="3" s="1"/>
  <c r="J16" i="3"/>
  <c r="L22" i="3" s="1"/>
  <c r="N26" i="3"/>
  <c r="G26" i="2"/>
  <c r="F26" i="2"/>
  <c r="H6" i="1"/>
  <c r="H7" i="1" s="1"/>
  <c r="H8" i="1" s="1"/>
  <c r="H9" i="1" s="1"/>
  <c r="H11" i="1" s="1"/>
  <c r="G8" i="2"/>
  <c r="I6" i="2"/>
  <c r="J17" i="3" l="1"/>
  <c r="L17" i="3" s="1"/>
  <c r="L18" i="3"/>
</calcChain>
</file>

<file path=xl/sharedStrings.xml><?xml version="1.0" encoding="utf-8"?>
<sst xmlns="http://schemas.openxmlformats.org/spreadsheetml/2006/main" count="103" uniqueCount="89">
  <si>
    <t>kg H2</t>
  </si>
  <si>
    <t>kg ijzer</t>
  </si>
  <si>
    <t>kWh/kg h2</t>
  </si>
  <si>
    <t>kg H2 / ton</t>
  </si>
  <si>
    <t>Ton Staal/j</t>
  </si>
  <si>
    <t>kWh/ton staal</t>
  </si>
  <si>
    <t>kWh</t>
  </si>
  <si>
    <t>MWh</t>
  </si>
  <si>
    <t>GWh</t>
  </si>
  <si>
    <t>uren per jaar:</t>
  </si>
  <si>
    <t>productiviteit</t>
  </si>
  <si>
    <t>uur</t>
  </si>
  <si>
    <t>GW</t>
  </si>
  <si>
    <t>kWh/kg H</t>
  </si>
  <si>
    <t>Rendement:</t>
  </si>
  <si>
    <t>https://www.ispatguru.com/hydrogen-steelmaking/</t>
  </si>
  <si>
    <t>kJ/mol</t>
  </si>
  <si>
    <t>delta H=</t>
  </si>
  <si>
    <t>Fe2O3+3H2=2Fe+3H2O</t>
  </si>
  <si>
    <t>J/cal</t>
  </si>
  <si>
    <t>h2+O2</t>
  </si>
  <si>
    <t>warmte</t>
  </si>
  <si>
    <t>elekt</t>
  </si>
  <si>
    <t>J/mol =</t>
  </si>
  <si>
    <t>Cal/gMol</t>
  </si>
  <si>
    <t>Fe3O4+H2 = 3FeO+H2O</t>
  </si>
  <si>
    <t>3Fe2O3+H2 = 2Fe3O4+H20</t>
  </si>
  <si>
    <t>FeO+H2 = Fe + H2O</t>
  </si>
  <si>
    <t>2Fe3O4+2H2 = 6FeO+2H2O</t>
  </si>
  <si>
    <t>6FeO+6H2 = 6Fe + 6H2O</t>
  </si>
  <si>
    <t>======&gt;</t>
  </si>
  <si>
    <t>Energie nodig om met H2 te reduceren:</t>
  </si>
  <si>
    <t>MJ/Ton</t>
  </si>
  <si>
    <t>KWh/Ton</t>
  </si>
  <si>
    <t>gr H2=</t>
  </si>
  <si>
    <t>elekronen</t>
  </si>
  <si>
    <t>coulomb</t>
  </si>
  <si>
    <t>Coulomb</t>
  </si>
  <si>
    <t>V</t>
  </si>
  <si>
    <t>Volt</t>
  </si>
  <si>
    <t>kg waterstof is</t>
  </si>
  <si>
    <t>Ton ijzer</t>
  </si>
  <si>
    <t>Ton waterstof</t>
  </si>
  <si>
    <t>Ton H2 nodig bij Rendement:</t>
  </si>
  <si>
    <t>kWh / kg H2 ideaal</t>
  </si>
  <si>
    <t>kWh / kg H2 bij rendement van:</t>
  </si>
  <si>
    <t>van DRI</t>
  </si>
  <si>
    <t>van elektrolyse</t>
  </si>
  <si>
    <t>Dan is in totaal:</t>
  </si>
  <si>
    <t>MWh elektriciteit nodig voor 5MT ijzer</t>
  </si>
  <si>
    <t>GWh / jaar =</t>
  </si>
  <si>
    <t>uren per jaar</t>
  </si>
  <si>
    <t>GW capaciteit bij 100% productiviteit</t>
  </si>
  <si>
    <t>GW geinstalleerd bij</t>
  </si>
  <si>
    <t>productiviteit.</t>
  </si>
  <si>
    <t>Er zijn</t>
  </si>
  <si>
    <t>lading van een elektron:</t>
  </si>
  <si>
    <t>Lading van alle elektronene van 1gr H2 is dus:</t>
  </si>
  <si>
    <t>elektronegativiteit van waterstof:</t>
  </si>
  <si>
    <t>Elektronegativiteit van Zuurstof:</t>
  </si>
  <si>
    <t>Potentiaalverschil is dus:</t>
  </si>
  <si>
    <t>nodige energie om alle elektronen over dat potentiaalverschil te krijgen:</t>
  </si>
  <si>
    <t>Of in Watt-uur, delen door 3600 seconden per uur</t>
  </si>
  <si>
    <t>Voor 1 kg (*1000kg/g / 1000 W/kW):</t>
  </si>
  <si>
    <t>Hoeveel energie is er nodig om 1 kg waterstof te produceren (ideaal)?</t>
  </si>
  <si>
    <t>kWh/kg H2</t>
  </si>
  <si>
    <t>Jaarlijkse energieproductie windmolens:</t>
  </si>
  <si>
    <t>MWh/jaar</t>
  </si>
  <si>
    <t>Aantal benodigde windmolens:</t>
  </si>
  <si>
    <t>windmolens</t>
  </si>
  <si>
    <t>Wiekdiameter:</t>
  </si>
  <si>
    <t>m</t>
  </si>
  <si>
    <t>Afstand tussen de molens (6x wiekdia)</t>
  </si>
  <si>
    <t>Plaatsing molens in rechthoek van:</t>
  </si>
  <si>
    <t>molens</t>
  </si>
  <si>
    <t>Dat maakt een rechthoek van</t>
  </si>
  <si>
    <t>Gibbs vrije energie van het proces:</t>
  </si>
  <si>
    <t>Joule/mol geproduceerde H2</t>
  </si>
  <si>
    <t>Joule/g H2</t>
  </si>
  <si>
    <t>1 gram H2 = 0,5 mol, dus is Gibbs:</t>
  </si>
  <si>
    <t>Totale nodige energie is dan:</t>
  </si>
  <si>
    <t>J/g H2</t>
  </si>
  <si>
    <t>Wh/g H2</t>
  </si>
  <si>
    <t>kg waterstof is nodig om</t>
  </si>
  <si>
    <t>kg ijzer te reduceren</t>
  </si>
  <si>
    <t>Hoeveel windmolens zijn er nodig om deze hoeveelheid waterstof te produceren</t>
  </si>
  <si>
    <t>Hoeveel vermogen is nodig om 5 Mton ijzer te produceren met waterstof?</t>
  </si>
  <si>
    <t>m x</t>
  </si>
  <si>
    <t>molens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</si>
</sst>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4" formatCode="_ * #,##0.00_-\ _€_ ;_ * #,##0.00\-\ _€_ ;_ * &quot;-&quot;??_-\ _€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2" fillId="0" borderId="0" xfId="2"/>
    <xf numFmtId="0" fontId="0" fillId="0" borderId="0" xfId="0" quotePrefix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4" xfId="0" applyBorder="1"/>
    <xf numFmtId="0" fontId="0" fillId="0" borderId="0" xfId="0" applyBorder="1"/>
    <xf numFmtId="11" fontId="0" fillId="0" borderId="0" xfId="0" applyNumberForma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applyNumberFormat="1" applyBorder="1"/>
    <xf numFmtId="43" fontId="0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0" xfId="0" applyNumberFormat="1" applyFont="1" applyFill="1" applyBorder="1"/>
    <xf numFmtId="0" fontId="3" fillId="2" borderId="5" xfId="0" applyFon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2" fontId="0" fillId="0" borderId="0" xfId="0" applyNumberFormat="1" applyBorder="1"/>
    <xf numFmtId="3" fontId="0" fillId="0" borderId="0" xfId="0" applyNumberFormat="1" applyBorder="1"/>
    <xf numFmtId="9" fontId="0" fillId="0" borderId="0" xfId="0" applyNumberFormat="1" applyBorder="1"/>
    <xf numFmtId="164" fontId="0" fillId="0" borderId="7" xfId="0" applyNumberFormat="1" applyBorder="1"/>
    <xf numFmtId="9" fontId="0" fillId="0" borderId="7" xfId="0" applyNumberFormat="1" applyBorder="1"/>
    <xf numFmtId="0" fontId="3" fillId="0" borderId="1" xfId="0" applyFont="1" applyBorder="1" applyAlignment="1">
      <alignment horizontal="left"/>
    </xf>
    <xf numFmtId="1" fontId="3" fillId="0" borderId="0" xfId="0" applyNumberFormat="1" applyFont="1" applyBorder="1"/>
    <xf numFmtId="0" fontId="0" fillId="0" borderId="7" xfId="0" applyBorder="1" applyAlignment="1">
      <alignment horizontal="right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patguru.com/hydrogen-steelmaki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F5CE-0998-402B-A6BF-30DD99D7DB67}">
  <dimension ref="C3:I11"/>
  <sheetViews>
    <sheetView workbookViewId="0">
      <selection activeCell="L12" sqref="L12"/>
    </sheetView>
  </sheetViews>
  <sheetFormatPr defaultRowHeight="14.4" x14ac:dyDescent="0.3"/>
  <cols>
    <col min="8" max="8" width="17.6640625" bestFit="1" customWidth="1"/>
  </cols>
  <sheetData>
    <row r="3" spans="3:9" x14ac:dyDescent="0.3">
      <c r="D3">
        <v>3</v>
      </c>
      <c r="E3" t="s">
        <v>0</v>
      </c>
      <c r="F3">
        <f>D3*F4/D4</f>
        <v>53.667262969588549</v>
      </c>
      <c r="H3">
        <f>F3/0.6</f>
        <v>89.445438282647586</v>
      </c>
      <c r="I3" t="s">
        <v>3</v>
      </c>
    </row>
    <row r="4" spans="3:9" x14ac:dyDescent="0.3">
      <c r="D4">
        <v>55.9</v>
      </c>
      <c r="E4" t="s">
        <v>1</v>
      </c>
      <c r="F4">
        <v>1000</v>
      </c>
      <c r="G4" t="s">
        <v>1</v>
      </c>
    </row>
    <row r="6" spans="3:9" x14ac:dyDescent="0.3">
      <c r="C6">
        <v>39</v>
      </c>
      <c r="D6" t="s">
        <v>13</v>
      </c>
      <c r="F6">
        <f>C6/D7</f>
        <v>52</v>
      </c>
      <c r="G6" t="s">
        <v>2</v>
      </c>
      <c r="H6">
        <f>H3*F6</f>
        <v>4651.1627906976746</v>
      </c>
      <c r="I6" t="s">
        <v>5</v>
      </c>
    </row>
    <row r="7" spans="3:9" x14ac:dyDescent="0.3">
      <c r="C7" t="s">
        <v>14</v>
      </c>
      <c r="D7" s="4">
        <v>0.75</v>
      </c>
      <c r="F7">
        <v>5000000</v>
      </c>
      <c r="G7" t="s">
        <v>4</v>
      </c>
      <c r="H7" s="1">
        <f>H6*F7</f>
        <v>23255813953.488373</v>
      </c>
      <c r="I7" t="s">
        <v>6</v>
      </c>
    </row>
    <row r="8" spans="3:9" x14ac:dyDescent="0.3">
      <c r="H8" s="2">
        <f>H7/1000</f>
        <v>23255813.953488372</v>
      </c>
      <c r="I8" t="s">
        <v>7</v>
      </c>
    </row>
    <row r="9" spans="3:9" x14ac:dyDescent="0.3">
      <c r="H9" s="2">
        <f>H8/1000</f>
        <v>23255.813953488374</v>
      </c>
      <c r="I9" t="s">
        <v>8</v>
      </c>
    </row>
    <row r="10" spans="3:9" x14ac:dyDescent="0.3">
      <c r="D10" s="3" t="s">
        <v>9</v>
      </c>
      <c r="E10">
        <f>365.25*24</f>
        <v>8766</v>
      </c>
      <c r="F10" t="s">
        <v>11</v>
      </c>
    </row>
    <row r="11" spans="3:9" x14ac:dyDescent="0.3">
      <c r="C11" s="3" t="s">
        <v>10</v>
      </c>
      <c r="D11" s="4">
        <v>0.8</v>
      </c>
      <c r="E11">
        <f>E10*D11</f>
        <v>7012.8</v>
      </c>
      <c r="F11" t="s">
        <v>11</v>
      </c>
      <c r="H11" s="2">
        <f>H9/E11</f>
        <v>3.316195236351867</v>
      </c>
      <c r="I1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71BD-B15A-4B51-8348-4D57AAA07AB2}">
  <dimension ref="C2:M26"/>
  <sheetViews>
    <sheetView workbookViewId="0">
      <selection activeCell="G18" sqref="G18"/>
    </sheetView>
  </sheetViews>
  <sheetFormatPr defaultRowHeight="14.4" x14ac:dyDescent="0.3"/>
  <sheetData>
    <row r="2" spans="3:13" x14ac:dyDescent="0.3">
      <c r="D2" t="s">
        <v>22</v>
      </c>
      <c r="E2" t="s">
        <v>21</v>
      </c>
    </row>
    <row r="3" spans="3:13" x14ac:dyDescent="0.3">
      <c r="C3" t="s">
        <v>20</v>
      </c>
      <c r="D3">
        <v>237.2</v>
      </c>
      <c r="E3">
        <v>48.6</v>
      </c>
      <c r="F3" t="s">
        <v>16</v>
      </c>
      <c r="G3">
        <f>D3+E3</f>
        <v>285.8</v>
      </c>
      <c r="H3" t="s">
        <v>16</v>
      </c>
    </row>
    <row r="4" spans="3:13" x14ac:dyDescent="0.3">
      <c r="G4">
        <v>4.1855000000000002</v>
      </c>
      <c r="H4" t="s">
        <v>19</v>
      </c>
    </row>
    <row r="6" spans="3:13" x14ac:dyDescent="0.3">
      <c r="D6">
        <f>D3/$G$4</f>
        <v>56.671843268426706</v>
      </c>
      <c r="E6">
        <f>E3/$G$4</f>
        <v>11.611515947915422</v>
      </c>
      <c r="G6">
        <f>G3/$G$4</f>
        <v>68.283359216342134</v>
      </c>
      <c r="I6">
        <f>G6*2</f>
        <v>136.56671843268427</v>
      </c>
    </row>
    <row r="8" spans="3:13" x14ac:dyDescent="0.3">
      <c r="D8">
        <f>D6*2</f>
        <v>113.34368653685341</v>
      </c>
      <c r="G8">
        <f>G6*2</f>
        <v>136.56671843268427</v>
      </c>
    </row>
    <row r="11" spans="3:13" x14ac:dyDescent="0.3">
      <c r="C11" t="s">
        <v>18</v>
      </c>
    </row>
    <row r="12" spans="3:13" x14ac:dyDescent="0.3">
      <c r="C12" t="s">
        <v>17</v>
      </c>
      <c r="D12">
        <v>-95.8</v>
      </c>
      <c r="E12" t="s">
        <v>16</v>
      </c>
    </row>
    <row r="13" spans="3:13" x14ac:dyDescent="0.3">
      <c r="E13" s="5" t="s">
        <v>15</v>
      </c>
      <c r="K13" s="6" t="s">
        <v>30</v>
      </c>
      <c r="L13" t="s">
        <v>31</v>
      </c>
    </row>
    <row r="14" spans="3:13" x14ac:dyDescent="0.3">
      <c r="L14">
        <v>5.7</v>
      </c>
      <c r="M14" t="s">
        <v>32</v>
      </c>
    </row>
    <row r="15" spans="3:13" x14ac:dyDescent="0.3">
      <c r="C15" t="s">
        <v>26</v>
      </c>
      <c r="F15">
        <v>-6.02</v>
      </c>
      <c r="G15" t="s">
        <v>23</v>
      </c>
      <c r="H15">
        <v>-2798</v>
      </c>
      <c r="I15" t="s">
        <v>24</v>
      </c>
      <c r="L15">
        <f>L14/3600 * 1000</f>
        <v>1.5833333333333333</v>
      </c>
      <c r="M15" t="s">
        <v>33</v>
      </c>
    </row>
    <row r="16" spans="3:13" x14ac:dyDescent="0.3">
      <c r="C16" t="s">
        <v>25</v>
      </c>
      <c r="F16">
        <v>46.64</v>
      </c>
      <c r="G16" t="s">
        <v>23</v>
      </c>
    </row>
    <row r="17" spans="3:8" x14ac:dyDescent="0.3">
      <c r="C17" t="s">
        <v>27</v>
      </c>
      <c r="F17">
        <v>16.41</v>
      </c>
      <c r="G17" t="s">
        <v>23</v>
      </c>
      <c r="H17">
        <f>H15/F15</f>
        <v>464.78405315614623</v>
      </c>
    </row>
    <row r="21" spans="3:8" x14ac:dyDescent="0.3">
      <c r="C21" t="s">
        <v>26</v>
      </c>
      <c r="F21">
        <v>-6.02</v>
      </c>
      <c r="G21" t="s">
        <v>23</v>
      </c>
    </row>
    <row r="22" spans="3:8" x14ac:dyDescent="0.3">
      <c r="C22" t="s">
        <v>28</v>
      </c>
      <c r="F22">
        <f>2*F16</f>
        <v>93.28</v>
      </c>
      <c r="G22" t="s">
        <v>23</v>
      </c>
    </row>
    <row r="23" spans="3:8" x14ac:dyDescent="0.3">
      <c r="C23" t="s">
        <v>29</v>
      </c>
      <c r="F23">
        <f>F17*6</f>
        <v>98.460000000000008</v>
      </c>
      <c r="G23" t="s">
        <v>23</v>
      </c>
    </row>
    <row r="25" spans="3:8" x14ac:dyDescent="0.3">
      <c r="F25">
        <f>F23+F22+F21</f>
        <v>185.72</v>
      </c>
    </row>
    <row r="26" spans="3:8" x14ac:dyDescent="0.3">
      <c r="F26">
        <f>F25/6</f>
        <v>30.953333333333333</v>
      </c>
      <c r="G26">
        <f>F25/D12</f>
        <v>-1.9386221294363257</v>
      </c>
    </row>
  </sheetData>
  <hyperlinks>
    <hyperlink ref="E13" r:id="rId1" xr:uid="{E680279D-F287-4466-8075-23A622B651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BFFE-AAE4-4D17-869E-46E6BA19CD60}">
  <dimension ref="A1:O26"/>
  <sheetViews>
    <sheetView tabSelected="1" topLeftCell="A7" workbookViewId="0">
      <selection activeCell="K31" sqref="K31"/>
    </sheetView>
  </sheetViews>
  <sheetFormatPr defaultRowHeight="14.4" x14ac:dyDescent="0.3"/>
  <cols>
    <col min="1" max="1" width="46" customWidth="1"/>
    <col min="2" max="2" width="12.33203125" customWidth="1"/>
    <col min="4" max="4" width="13.109375" customWidth="1"/>
    <col min="5" max="5" width="10.44140625" bestFit="1" customWidth="1"/>
    <col min="7" max="7" width="13.109375" bestFit="1" customWidth="1"/>
    <col min="9" max="9" width="5.77734375" bestFit="1" customWidth="1"/>
    <col min="10" max="10" width="15.44140625" bestFit="1" customWidth="1"/>
    <col min="11" max="11" width="26.6640625" bestFit="1" customWidth="1"/>
    <col min="12" max="12" width="12" bestFit="1" customWidth="1"/>
    <col min="13" max="13" width="17.88671875" customWidth="1"/>
    <col min="15" max="15" width="12.44140625" bestFit="1" customWidth="1"/>
  </cols>
  <sheetData>
    <row r="1" spans="1:15" ht="16.2" thickBot="1" x14ac:dyDescent="0.35">
      <c r="A1" s="7" t="s">
        <v>64</v>
      </c>
      <c r="B1" s="8"/>
      <c r="C1" s="8"/>
      <c r="D1" s="8"/>
      <c r="E1" s="9"/>
    </row>
    <row r="2" spans="1:15" x14ac:dyDescent="0.3">
      <c r="A2" s="10"/>
      <c r="B2" s="11">
        <v>1</v>
      </c>
      <c r="C2" s="11" t="s">
        <v>34</v>
      </c>
      <c r="D2" s="12">
        <v>6.02E+23</v>
      </c>
      <c r="E2" s="13" t="s">
        <v>35</v>
      </c>
      <c r="I2" s="24"/>
      <c r="J2" s="25" t="s">
        <v>86</v>
      </c>
      <c r="K2" s="26"/>
      <c r="L2" s="26"/>
      <c r="M2" s="26"/>
      <c r="N2" s="26"/>
      <c r="O2" s="27"/>
    </row>
    <row r="3" spans="1:15" x14ac:dyDescent="0.3">
      <c r="A3" s="10"/>
      <c r="B3" s="11"/>
      <c r="C3" s="14" t="s">
        <v>56</v>
      </c>
      <c r="D3" s="12">
        <v>1.602E-19</v>
      </c>
      <c r="E3" s="13" t="s">
        <v>36</v>
      </c>
      <c r="I3" s="10"/>
      <c r="J3" s="11"/>
      <c r="K3" s="11"/>
      <c r="L3" s="11"/>
      <c r="M3" s="11"/>
      <c r="N3" s="11"/>
      <c r="O3" s="13"/>
    </row>
    <row r="4" spans="1:15" x14ac:dyDescent="0.3">
      <c r="A4" s="10"/>
      <c r="B4" s="11"/>
      <c r="C4" s="11"/>
      <c r="D4" s="11"/>
      <c r="E4" s="13"/>
      <c r="I4" s="10"/>
      <c r="J4" s="11">
        <v>3</v>
      </c>
      <c r="K4" s="11" t="s">
        <v>83</v>
      </c>
      <c r="L4" s="11">
        <v>55.8</v>
      </c>
      <c r="M4" s="11" t="s">
        <v>84</v>
      </c>
      <c r="N4" s="11"/>
      <c r="O4" s="13"/>
    </row>
    <row r="5" spans="1:15" x14ac:dyDescent="0.3">
      <c r="A5" s="10"/>
      <c r="B5" s="11"/>
      <c r="C5" s="14" t="s">
        <v>57</v>
      </c>
      <c r="D5" s="15">
        <f>D3*D2</f>
        <v>96440.4</v>
      </c>
      <c r="E5" s="13" t="s">
        <v>37</v>
      </c>
      <c r="I5" s="10"/>
      <c r="J5" s="28">
        <f>J4*L5/L4</f>
        <v>53.763440860215056</v>
      </c>
      <c r="K5" s="11" t="s">
        <v>40</v>
      </c>
      <c r="L5" s="11">
        <v>1000</v>
      </c>
      <c r="M5" s="11" t="s">
        <v>1</v>
      </c>
      <c r="N5" s="11"/>
      <c r="O5" s="13"/>
    </row>
    <row r="6" spans="1:15" x14ac:dyDescent="0.3">
      <c r="A6" s="10"/>
      <c r="B6" s="11"/>
      <c r="C6" s="11"/>
      <c r="D6" s="11"/>
      <c r="E6" s="13"/>
      <c r="I6" s="10"/>
      <c r="J6" s="11"/>
      <c r="K6" s="11"/>
      <c r="L6" s="11"/>
      <c r="M6" s="11"/>
      <c r="N6" s="11"/>
      <c r="O6" s="13"/>
    </row>
    <row r="7" spans="1:15" x14ac:dyDescent="0.3">
      <c r="A7" s="10"/>
      <c r="B7" s="11"/>
      <c r="C7" s="14" t="s">
        <v>58</v>
      </c>
      <c r="D7" s="11">
        <v>2.2000000000000002</v>
      </c>
      <c r="E7" s="13" t="s">
        <v>38</v>
      </c>
      <c r="I7" s="10"/>
      <c r="J7" s="16">
        <f>J5*L7/1000</f>
        <v>268817.20430107525</v>
      </c>
      <c r="K7" s="11" t="s">
        <v>42</v>
      </c>
      <c r="L7" s="29">
        <v>5000000</v>
      </c>
      <c r="M7" s="11" t="s">
        <v>41</v>
      </c>
      <c r="N7" s="11"/>
      <c r="O7" s="13"/>
    </row>
    <row r="8" spans="1:15" x14ac:dyDescent="0.3">
      <c r="A8" s="10"/>
      <c r="B8" s="11"/>
      <c r="C8" s="14" t="s">
        <v>59</v>
      </c>
      <c r="D8" s="11">
        <v>3.44</v>
      </c>
      <c r="E8" s="13" t="s">
        <v>38</v>
      </c>
      <c r="I8" s="10"/>
      <c r="J8" s="16"/>
      <c r="K8" s="11"/>
      <c r="L8" s="29"/>
      <c r="M8" s="11"/>
      <c r="N8" s="11"/>
      <c r="O8" s="13"/>
    </row>
    <row r="9" spans="1:15" x14ac:dyDescent="0.3">
      <c r="A9" s="10"/>
      <c r="B9" s="11"/>
      <c r="C9" s="14" t="s">
        <v>60</v>
      </c>
      <c r="D9" s="11">
        <f>D8-D7</f>
        <v>1.2399999999999998</v>
      </c>
      <c r="E9" s="13" t="s">
        <v>39</v>
      </c>
      <c r="I9" s="10"/>
      <c r="J9" s="16"/>
      <c r="K9" s="11"/>
      <c r="L9" s="29"/>
      <c r="M9" s="11"/>
      <c r="N9" s="11"/>
      <c r="O9" s="13"/>
    </row>
    <row r="10" spans="1:15" x14ac:dyDescent="0.3">
      <c r="A10" s="10"/>
      <c r="B10" s="11"/>
      <c r="C10" s="11"/>
      <c r="D10" s="11"/>
      <c r="E10" s="13"/>
      <c r="I10" s="10"/>
      <c r="J10" s="11"/>
      <c r="K10" s="11"/>
      <c r="L10" s="11"/>
      <c r="M10" s="11"/>
      <c r="N10" s="11"/>
      <c r="O10" s="13"/>
    </row>
    <row r="11" spans="1:15" x14ac:dyDescent="0.3">
      <c r="A11" s="10"/>
      <c r="B11" s="11"/>
      <c r="C11" s="14" t="s">
        <v>61</v>
      </c>
      <c r="D11" s="16">
        <f>D9*D5</f>
        <v>119586.09599999998</v>
      </c>
      <c r="E11" s="13" t="s">
        <v>78</v>
      </c>
      <c r="G11" s="2"/>
      <c r="I11" s="10"/>
      <c r="J11" s="16">
        <f>J7/L11</f>
        <v>384024.57757296466</v>
      </c>
      <c r="K11" s="11" t="s">
        <v>43</v>
      </c>
      <c r="L11" s="30">
        <v>0.7</v>
      </c>
      <c r="M11" s="11" t="s">
        <v>46</v>
      </c>
      <c r="N11" s="11"/>
      <c r="O11" s="13"/>
    </row>
    <row r="12" spans="1:15" x14ac:dyDescent="0.3">
      <c r="A12" s="10"/>
      <c r="B12" s="11"/>
      <c r="C12" s="14" t="s">
        <v>76</v>
      </c>
      <c r="D12" s="16">
        <v>48600</v>
      </c>
      <c r="E12" s="13" t="s">
        <v>77</v>
      </c>
      <c r="G12" s="2"/>
      <c r="I12" s="10"/>
      <c r="J12" s="11">
        <v>39</v>
      </c>
      <c r="K12" s="11" t="s">
        <v>44</v>
      </c>
      <c r="L12" s="11"/>
      <c r="M12" s="11"/>
      <c r="N12" s="11"/>
      <c r="O12" s="13"/>
    </row>
    <row r="13" spans="1:15" x14ac:dyDescent="0.3">
      <c r="A13" s="10"/>
      <c r="B13" s="11"/>
      <c r="C13" s="14" t="s">
        <v>79</v>
      </c>
      <c r="D13" s="16">
        <f>D12/2</f>
        <v>24300</v>
      </c>
      <c r="E13" s="13" t="s">
        <v>81</v>
      </c>
      <c r="G13" s="2"/>
      <c r="I13" s="10"/>
      <c r="J13" s="16">
        <f>J12/L13</f>
        <v>65</v>
      </c>
      <c r="K13" s="11" t="s">
        <v>45</v>
      </c>
      <c r="L13" s="30">
        <v>0.6</v>
      </c>
      <c r="M13" s="11" t="s">
        <v>47</v>
      </c>
      <c r="N13" s="11"/>
      <c r="O13" s="13"/>
    </row>
    <row r="14" spans="1:15" x14ac:dyDescent="0.3">
      <c r="C14" s="22" t="s">
        <v>80</v>
      </c>
      <c r="D14" s="2">
        <f>D11+D13</f>
        <v>143886.09599999996</v>
      </c>
      <c r="E14" s="13" t="s">
        <v>81</v>
      </c>
      <c r="G14" s="15"/>
      <c r="I14" s="10"/>
      <c r="J14" s="11"/>
      <c r="K14" s="11"/>
      <c r="L14" s="11"/>
      <c r="M14" s="11"/>
      <c r="N14" s="11"/>
      <c r="O14" s="13"/>
    </row>
    <row r="15" spans="1:15" x14ac:dyDescent="0.3">
      <c r="E15" s="13"/>
      <c r="I15" s="10"/>
      <c r="J15" s="11" t="s">
        <v>48</v>
      </c>
      <c r="K15" s="11"/>
      <c r="L15" s="11"/>
      <c r="M15" s="11"/>
      <c r="N15" s="11"/>
      <c r="O15" s="13"/>
    </row>
    <row r="16" spans="1:15" x14ac:dyDescent="0.3">
      <c r="A16" s="10"/>
      <c r="B16" s="11"/>
      <c r="C16" s="14" t="s">
        <v>62</v>
      </c>
      <c r="D16" s="23">
        <f>D14/3600</f>
        <v>39.96835999999999</v>
      </c>
      <c r="E16" s="13" t="s">
        <v>82</v>
      </c>
      <c r="I16" s="10"/>
      <c r="J16" s="23">
        <f>J11*J13</f>
        <v>24961597.542242702</v>
      </c>
      <c r="K16" s="11" t="s">
        <v>49</v>
      </c>
      <c r="L16" s="11"/>
      <c r="M16" s="11"/>
      <c r="N16" s="11"/>
      <c r="O16" s="13"/>
    </row>
    <row r="17" spans="1:15" x14ac:dyDescent="0.3">
      <c r="A17" s="10"/>
      <c r="B17" s="11"/>
      <c r="C17" s="11"/>
      <c r="D17" s="11"/>
      <c r="E17" s="13"/>
      <c r="I17" s="10"/>
      <c r="J17" s="23">
        <f>J16/1000</f>
        <v>24961.597542242704</v>
      </c>
      <c r="K17" s="11" t="s">
        <v>50</v>
      </c>
      <c r="L17" s="23">
        <f>J17/J18</f>
        <v>2.8475470616293297</v>
      </c>
      <c r="M17" s="11" t="s">
        <v>52</v>
      </c>
      <c r="N17" s="11"/>
      <c r="O17" s="13"/>
    </row>
    <row r="18" spans="1:15" ht="15" thickBot="1" x14ac:dyDescent="0.35">
      <c r="A18" s="10"/>
      <c r="B18" s="11"/>
      <c r="C18" s="14" t="s">
        <v>63</v>
      </c>
      <c r="D18" s="20">
        <f>D16</f>
        <v>39.96835999999999</v>
      </c>
      <c r="E18" s="21" t="s">
        <v>65</v>
      </c>
      <c r="I18" s="17" t="s">
        <v>55</v>
      </c>
      <c r="J18" s="18">
        <f>365.25*24</f>
        <v>8766</v>
      </c>
      <c r="K18" s="18" t="s">
        <v>51</v>
      </c>
      <c r="L18" s="31">
        <f>J16/(J18*N18)</f>
        <v>3559.4338270366616</v>
      </c>
      <c r="M18" s="18" t="s">
        <v>53</v>
      </c>
      <c r="N18" s="32">
        <v>0.8</v>
      </c>
      <c r="O18" s="19" t="s">
        <v>54</v>
      </c>
    </row>
    <row r="19" spans="1:15" ht="15" thickBot="1" x14ac:dyDescent="0.35">
      <c r="A19" s="17"/>
      <c r="B19" s="18"/>
      <c r="C19" s="18"/>
      <c r="D19" s="18"/>
      <c r="E19" s="19"/>
    </row>
    <row r="20" spans="1:15" x14ac:dyDescent="0.3">
      <c r="J20" s="33" t="s">
        <v>85</v>
      </c>
      <c r="K20" s="26"/>
      <c r="L20" s="26"/>
      <c r="M20" s="26"/>
      <c r="N20" s="26"/>
      <c r="O20" s="27"/>
    </row>
    <row r="21" spans="1:15" x14ac:dyDescent="0.3">
      <c r="J21" s="10"/>
      <c r="K21" s="14" t="s">
        <v>66</v>
      </c>
      <c r="L21" s="11">
        <v>7500</v>
      </c>
      <c r="M21" s="11" t="s">
        <v>67</v>
      </c>
      <c r="N21" s="11"/>
      <c r="O21" s="13"/>
    </row>
    <row r="22" spans="1:15" x14ac:dyDescent="0.3">
      <c r="J22" s="10"/>
      <c r="K22" s="11" t="s">
        <v>68</v>
      </c>
      <c r="L22" s="34">
        <f>J16/L21</f>
        <v>3328.2130056323604</v>
      </c>
      <c r="M22" s="11" t="s">
        <v>69</v>
      </c>
      <c r="N22" s="11"/>
      <c r="O22" s="13"/>
    </row>
    <row r="23" spans="1:15" x14ac:dyDescent="0.3">
      <c r="D23" s="2"/>
      <c r="J23" s="10"/>
      <c r="K23" s="11" t="s">
        <v>70</v>
      </c>
      <c r="L23" s="11">
        <v>163</v>
      </c>
      <c r="M23" s="11" t="s">
        <v>71</v>
      </c>
      <c r="N23" s="11"/>
      <c r="O23" s="13"/>
    </row>
    <row r="24" spans="1:15" x14ac:dyDescent="0.3">
      <c r="J24" s="10"/>
      <c r="K24" s="14" t="s">
        <v>72</v>
      </c>
      <c r="L24" s="11">
        <f>L23*6</f>
        <v>978</v>
      </c>
      <c r="M24" s="11"/>
      <c r="N24" s="11"/>
      <c r="O24" s="13"/>
    </row>
    <row r="25" spans="1:15" x14ac:dyDescent="0.3">
      <c r="J25" s="10"/>
      <c r="K25" s="14" t="s">
        <v>73</v>
      </c>
      <c r="L25" s="11">
        <v>52</v>
      </c>
      <c r="M25" s="11" t="s">
        <v>88</v>
      </c>
      <c r="N25" s="11">
        <v>55</v>
      </c>
      <c r="O25" s="13" t="s">
        <v>74</v>
      </c>
    </row>
    <row r="26" spans="1:15" ht="15" thickBot="1" x14ac:dyDescent="0.35">
      <c r="J26" s="17"/>
      <c r="K26" s="35" t="s">
        <v>75</v>
      </c>
      <c r="L26" s="18">
        <f>L25*$L$24</f>
        <v>50856</v>
      </c>
      <c r="M26" s="18" t="s">
        <v>87</v>
      </c>
      <c r="N26" s="18">
        <f>N25*$L$24</f>
        <v>53790</v>
      </c>
      <c r="O26" s="19" t="s">
        <v>71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Omzetting kCal-Joule</vt:lpstr>
      <vt:lpstr>StochElektrolyse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 Van Giel</cp:lastModifiedBy>
  <dcterms:created xsi:type="dcterms:W3CDTF">2021-12-15T20:35:45Z</dcterms:created>
  <dcterms:modified xsi:type="dcterms:W3CDTF">2021-12-30T20:25:52Z</dcterms:modified>
</cp:coreProperties>
</file>